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2" windowWidth="23256" windowHeight="12468" activeTab="0"/>
  </bookViews>
  <sheets>
    <sheet name="Figure 6.6" sheetId="1" r:id="rId1"/>
  </sheets>
  <definedNames/>
  <calcPr fullCalcOnLoad="1"/>
</workbook>
</file>

<file path=xl/sharedStrings.xml><?xml version="1.0" encoding="utf-8"?>
<sst xmlns="http://schemas.openxmlformats.org/spreadsheetml/2006/main" count="82" uniqueCount="39">
  <si>
    <t>Oaxaca-Blinder decomposition of general-vocationl PISA math score gap by country</t>
  </si>
  <si>
    <t xml:space="preserve">adjusted </t>
  </si>
  <si>
    <t>unadjusted</t>
  </si>
  <si>
    <t xml:space="preserve">General </t>
  </si>
  <si>
    <t>Vocational</t>
  </si>
  <si>
    <t>Note: Variable effects are grouped and include variables on individual characteristics of the students (gender, student socio-economic background and language spoken at home), school's socio-economic composition (mean escs), school's resources (quality of infrastructure and educational resources), grade levels and school processes (mean learning time in minutes and mean disciplinary climate)</t>
  </si>
  <si>
    <t>Source : PISA 2012</t>
  </si>
  <si>
    <t>% of teachers with professional development</t>
  </si>
  <si>
    <t>Note : ESCS refers to the PISA index of economic, social and cultural status</t>
  </si>
  <si>
    <t>Serbia</t>
  </si>
  <si>
    <t>Montenegro</t>
  </si>
  <si>
    <t>Turkey</t>
  </si>
  <si>
    <t>Bulgaria</t>
  </si>
  <si>
    <t>Unexplained</t>
  </si>
  <si>
    <t>Female</t>
  </si>
  <si>
    <t>ESCS</t>
  </si>
  <si>
    <t>ESCS squared</t>
  </si>
  <si>
    <t>Language home native</t>
  </si>
  <si>
    <t>Mean ESCS</t>
  </si>
  <si>
    <t>Quality of schools infrastructure</t>
  </si>
  <si>
    <t>Quality of school education resources</t>
  </si>
  <si>
    <t>Index of teacher shortage</t>
  </si>
  <si>
    <t>Mean learning time in minutes</t>
  </si>
  <si>
    <t>Mean disciplinary climate</t>
  </si>
  <si>
    <t>One below modal grade</t>
  </si>
  <si>
    <t>One above modal grade</t>
  </si>
  <si>
    <t>General</t>
  </si>
  <si>
    <t xml:space="preserve">Mean </t>
  </si>
  <si>
    <t>S.E.</t>
  </si>
  <si>
    <t xml:space="preserve"> Differences in background, grade levels, peer characteristics, school resources and processes by national study programme</t>
  </si>
  <si>
    <t>* p&lt;0.05,  ** p&lt;0.01, *** p&lt;0.001</t>
  </si>
  <si>
    <t>Figure 6.6 Decomposition of mathematics performance gap between general and vocational programmes in 4 middle-income countries, PISA 2012</t>
  </si>
  <si>
    <t>Source: Authors’ original analyses of PISA 2012 Database</t>
  </si>
  <si>
    <t>Source: OECD, PISA 2012 Database</t>
  </si>
  <si>
    <t>The Experience of Middle-Income Countries Participating in PISA 2000-2015 - © OECD 2015</t>
  </si>
  <si>
    <t>Chapter 6. What does PISA data tell us about education in middle-income countries?</t>
  </si>
  <si>
    <t>Figure 6.6 Decomposition of mathematics performance gap between general and vocational programmes, 4 middle-income countries, PISA 2012</t>
  </si>
  <si>
    <t>Version 1 - Last updated: 17-Nov-2015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</si>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</sst>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b/>
      <sz val="10"/>
      <name val="Arial"/>
      <family val="2"/>
    </font>
    <font>
      <sz val="10"/>
      <name val="Arial"/>
      <family val="2"/>
    </font>
    <font>
      <sz val="10"/>
      <name val="MS Sans Serif"/>
      <family val="2"/>
    </font>
    <font>
      <sz val="10"/>
      <color indexed="8"/>
      <name val="Calibri"/>
      <family val="2"/>
    </font>
    <font>
      <sz val="10"/>
      <color indexed="20"/>
      <name val="Arial"/>
      <family val="2"/>
    </font>
    <font>
      <sz val="12"/>
      <color indexed="17"/>
      <name val="Calibri"/>
      <family val="2"/>
    </font>
    <font>
      <sz val="11"/>
      <color indexed="8"/>
      <name val="Calibri"/>
      <family val="2"/>
    </font>
    <font>
      <sz val="12"/>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2"/>
      <color rgb="FF006100"/>
      <name val="Calibri"/>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2"/>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color rgb="FFB2B2B2"/>
      </right>
      <top style="thin"/>
      <bottom style="thin"/>
    </border>
    <border>
      <left style="thin">
        <color rgb="FFB2B2B2"/>
      </left>
      <right style="thin">
        <color rgb="FFB2B2B2"/>
      </right>
      <top style="thin"/>
      <bottom style="thin"/>
    </border>
    <border>
      <left style="thin">
        <color rgb="FFB2B2B2"/>
      </left>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40" fillId="0" borderId="0">
      <alignment/>
      <protection/>
    </xf>
    <xf numFmtId="0" fontId="3" fillId="0" borderId="0">
      <alignment/>
      <protection/>
    </xf>
    <xf numFmtId="0" fontId="0" fillId="0" borderId="0">
      <alignment/>
      <protection/>
    </xf>
    <xf numFmtId="0" fontId="0" fillId="0" borderId="0">
      <alignment/>
      <protection/>
    </xf>
    <xf numFmtId="0" fontId="41" fillId="0" borderId="0">
      <alignment/>
      <protection/>
    </xf>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33" borderId="16" xfId="0" applyFont="1" applyFill="1" applyBorder="1" applyAlignment="1">
      <alignment horizontal="center" vertical="center"/>
    </xf>
    <xf numFmtId="0" fontId="0" fillId="0" borderId="16" xfId="0" applyFont="1" applyBorder="1" applyAlignment="1">
      <alignment/>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xf>
    <xf numFmtId="0" fontId="0" fillId="0" borderId="21" xfId="0" applyFont="1" applyBorder="1" applyAlignment="1">
      <alignment/>
    </xf>
    <xf numFmtId="0" fontId="2" fillId="33" borderId="16" xfId="0" applyFont="1" applyFill="1" applyBorder="1" applyAlignment="1">
      <alignment horizontal="center"/>
    </xf>
    <xf numFmtId="0" fontId="3" fillId="33" borderId="16" xfId="0" applyFont="1" applyFill="1" applyBorder="1" applyAlignment="1">
      <alignment/>
    </xf>
    <xf numFmtId="2" fontId="0" fillId="33" borderId="16" xfId="0" applyNumberFormat="1" applyFont="1" applyFill="1" applyBorder="1" applyAlignment="1">
      <alignment/>
    </xf>
    <xf numFmtId="0" fontId="3" fillId="33" borderId="17" xfId="0" applyFont="1" applyFill="1" applyBorder="1" applyAlignment="1">
      <alignment/>
    </xf>
    <xf numFmtId="2" fontId="0" fillId="33" borderId="13" xfId="0" applyNumberFormat="1" applyFont="1" applyFill="1" applyBorder="1" applyAlignment="1">
      <alignment/>
    </xf>
    <xf numFmtId="2" fontId="0" fillId="33" borderId="15" xfId="0" applyNumberFormat="1" applyFont="1" applyFill="1" applyBorder="1" applyAlignment="1">
      <alignment/>
    </xf>
    <xf numFmtId="0" fontId="2" fillId="33" borderId="17" xfId="39" applyFont="1" applyFill="1" applyBorder="1" applyAlignment="1">
      <alignment vertical="center" wrapText="1"/>
    </xf>
    <xf numFmtId="0" fontId="2" fillId="33" borderId="18" xfId="39" applyFont="1" applyFill="1" applyBorder="1" applyAlignment="1">
      <alignment vertical="center" wrapText="1"/>
    </xf>
    <xf numFmtId="0" fontId="44"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3" fillId="33" borderId="13" xfId="0" applyFont="1" applyFill="1" applyBorder="1" applyAlignment="1">
      <alignment horizontal="center" vertical="center"/>
    </xf>
    <xf numFmtId="0" fontId="0" fillId="0" borderId="17" xfId="0" applyFont="1" applyBorder="1" applyAlignment="1">
      <alignment/>
    </xf>
    <xf numFmtId="0" fontId="36" fillId="0" borderId="0" xfId="54" applyAlignment="1">
      <alignment/>
    </xf>
    <xf numFmtId="0" fontId="2" fillId="33" borderId="18" xfId="39" applyFont="1" applyFill="1" applyBorder="1" applyAlignment="1">
      <alignment horizontal="center" vertical="center" wrapText="1"/>
    </xf>
    <xf numFmtId="0" fontId="2" fillId="33" borderId="19" xfId="39" applyFont="1" applyFill="1" applyBorder="1" applyAlignment="1">
      <alignment horizontal="center" vertical="center" wrapText="1"/>
    </xf>
    <xf numFmtId="0" fontId="0" fillId="33" borderId="22" xfId="71" applyFont="1" applyFill="1" applyBorder="1" applyAlignment="1">
      <alignment horizontal="center"/>
    </xf>
    <xf numFmtId="0" fontId="0" fillId="33" borderId="23" xfId="71" applyFont="1" applyFill="1" applyBorder="1" applyAlignment="1">
      <alignment horizontal="center"/>
    </xf>
    <xf numFmtId="0" fontId="0" fillId="33" borderId="24" xfId="71" applyFont="1" applyFill="1" applyBorder="1" applyAlignment="1">
      <alignment horizontal="center"/>
    </xf>
    <xf numFmtId="0" fontId="2" fillId="33" borderId="16" xfId="0" applyFont="1" applyFill="1" applyBorder="1" applyAlignment="1">
      <alignment horizontal="center"/>
    </xf>
    <xf numFmtId="0" fontId="2" fillId="33" borderId="16" xfId="39" applyFont="1" applyFill="1" applyBorder="1" applyAlignment="1">
      <alignment horizontal="center" vertical="center" wrapText="1"/>
    </xf>
    <xf numFmtId="0" fontId="2" fillId="33" borderId="16" xfId="39" applyFont="1" applyFill="1" applyBorder="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Good 2"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14 2" xfId="59"/>
    <cellStyle name="Normal 14 3" xfId="60"/>
    <cellStyle name="Normal 15 3" xfId="61"/>
    <cellStyle name="Normal 16" xfId="62"/>
    <cellStyle name="Normal 18" xfId="63"/>
    <cellStyle name="Normal 2" xfId="64"/>
    <cellStyle name="Normal 2 19" xfId="65"/>
    <cellStyle name="Normal 2 2 2" xfId="66"/>
    <cellStyle name="Normal 2 2 2 2" xfId="67"/>
    <cellStyle name="Normal 2 4 2 2 3" xfId="68"/>
    <cellStyle name="Normal 3" xfId="69"/>
    <cellStyle name="Normal 8 10" xfId="70"/>
    <cellStyle name="Note" xfId="71"/>
    <cellStyle name="Output" xfId="72"/>
    <cellStyle name="Percent" xfId="73"/>
    <cellStyle name="Percent 3" xfId="74"/>
    <cellStyle name="Percent 4"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15"/>
          <c:w val="0.98525"/>
          <c:h val="0.931"/>
        </c:manualLayout>
      </c:layout>
      <c:barChart>
        <c:barDir val="col"/>
        <c:grouping val="stacked"/>
        <c:varyColors val="0"/>
        <c:ser>
          <c:idx val="0"/>
          <c:order val="0"/>
          <c:tx>
            <c:v>background</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SRB</c:v>
              </c:pt>
              <c:pt idx="1">
                <c:v>MNE</c:v>
              </c:pt>
              <c:pt idx="2">
                <c:v>TUR</c:v>
              </c:pt>
              <c:pt idx="3">
                <c:v>BGR</c:v>
              </c:pt>
            </c:strLit>
          </c:cat>
          <c:val>
            <c:numLit>
              <c:ptCount val="4"/>
              <c:pt idx="0">
                <c:v>3.72</c:v>
              </c:pt>
              <c:pt idx="1">
                <c:v>4.334</c:v>
              </c:pt>
              <c:pt idx="2">
                <c:v>0.261</c:v>
              </c:pt>
              <c:pt idx="3">
                <c:v>5.773</c:v>
              </c:pt>
            </c:numLit>
          </c:val>
        </c:ser>
        <c:ser>
          <c:idx val="1"/>
          <c:order val="1"/>
          <c:tx>
            <c:v>school resources</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SRB</c:v>
              </c:pt>
              <c:pt idx="1">
                <c:v>MNE</c:v>
              </c:pt>
              <c:pt idx="2">
                <c:v>TUR</c:v>
              </c:pt>
              <c:pt idx="3">
                <c:v>BGR</c:v>
              </c:pt>
            </c:strLit>
          </c:cat>
          <c:val>
            <c:numLit>
              <c:ptCount val="4"/>
              <c:pt idx="0">
                <c:v>0.95</c:v>
              </c:pt>
              <c:pt idx="1">
                <c:v>1.074</c:v>
              </c:pt>
              <c:pt idx="2">
                <c:v>0.055</c:v>
              </c:pt>
              <c:pt idx="3">
                <c:v>3.74</c:v>
              </c:pt>
            </c:numLit>
          </c:val>
        </c:ser>
        <c:ser>
          <c:idx val="2"/>
          <c:order val="2"/>
          <c:tx>
            <c:v>school processes</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SRB</c:v>
              </c:pt>
              <c:pt idx="1">
                <c:v>MNE</c:v>
              </c:pt>
              <c:pt idx="2">
                <c:v>TUR</c:v>
              </c:pt>
              <c:pt idx="3">
                <c:v>BGR</c:v>
              </c:pt>
            </c:strLit>
          </c:cat>
          <c:val>
            <c:numLit>
              <c:ptCount val="4"/>
              <c:pt idx="0">
                <c:v>7.97</c:v>
              </c:pt>
              <c:pt idx="1">
                <c:v>-1.57</c:v>
              </c:pt>
              <c:pt idx="2">
                <c:v>35.8</c:v>
              </c:pt>
              <c:pt idx="3">
                <c:v>2.36</c:v>
              </c:pt>
            </c:numLit>
          </c:val>
        </c:ser>
        <c:ser>
          <c:idx val="3"/>
          <c:order val="3"/>
          <c:tx>
            <c:v>difference in grade levels</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SRB</c:v>
              </c:pt>
              <c:pt idx="1">
                <c:v>MNE</c:v>
              </c:pt>
              <c:pt idx="2">
                <c:v>TUR</c:v>
              </c:pt>
              <c:pt idx="3">
                <c:v>BGR</c:v>
              </c:pt>
            </c:strLit>
          </c:cat>
          <c:val>
            <c:numLit>
              <c:ptCount val="4"/>
              <c:pt idx="0">
                <c:v>-0.659</c:v>
              </c:pt>
              <c:pt idx="1">
                <c:v>0.271</c:v>
              </c:pt>
              <c:pt idx="2">
                <c:v>0.37</c:v>
              </c:pt>
              <c:pt idx="3">
                <c:v>-1.91</c:v>
              </c:pt>
            </c:numLit>
          </c:val>
        </c:ser>
        <c:ser>
          <c:idx val="4"/>
          <c:order val="4"/>
          <c:tx>
            <c:v>schools escs composition</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SRB</c:v>
              </c:pt>
              <c:pt idx="1">
                <c:v>MNE</c:v>
              </c:pt>
              <c:pt idx="2">
                <c:v>TUR</c:v>
              </c:pt>
              <c:pt idx="3">
                <c:v>BGR</c:v>
              </c:pt>
            </c:strLit>
          </c:cat>
          <c:val>
            <c:numLit>
              <c:ptCount val="4"/>
              <c:pt idx="0">
                <c:v>46.99</c:v>
              </c:pt>
              <c:pt idx="1">
                <c:v>36.74</c:v>
              </c:pt>
              <c:pt idx="2">
                <c:v>19.04</c:v>
              </c:pt>
              <c:pt idx="3">
                <c:v>28.08</c:v>
              </c:pt>
            </c:numLit>
          </c:val>
        </c:ser>
        <c:ser>
          <c:idx val="5"/>
          <c:order val="5"/>
          <c:tx>
            <c:v>unexplained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SRB</c:v>
              </c:pt>
              <c:pt idx="1">
                <c:v>MNE</c:v>
              </c:pt>
              <c:pt idx="2">
                <c:v>TUR</c:v>
              </c:pt>
              <c:pt idx="3">
                <c:v>BGR</c:v>
              </c:pt>
            </c:strLit>
          </c:cat>
          <c:val>
            <c:numLit>
              <c:ptCount val="4"/>
              <c:pt idx="0">
                <c:v>32.14</c:v>
              </c:pt>
              <c:pt idx="1">
                <c:v>35.63</c:v>
              </c:pt>
              <c:pt idx="2">
                <c:v>7.782</c:v>
              </c:pt>
              <c:pt idx="3">
                <c:v>3.39</c:v>
              </c:pt>
            </c:numLit>
          </c:val>
        </c:ser>
        <c:overlap val="100"/>
        <c:gapWidth val="75"/>
        <c:axId val="13017519"/>
        <c:axId val="50048808"/>
      </c:barChart>
      <c:catAx>
        <c:axId val="13017519"/>
        <c:scaling>
          <c:orientation val="minMax"/>
        </c:scaling>
        <c:axPos val="b"/>
        <c:delete val="0"/>
        <c:numFmt formatCode="General" sourceLinked="1"/>
        <c:majorTickMark val="none"/>
        <c:minorTickMark val="none"/>
        <c:tickLblPos val="nextTo"/>
        <c:spPr>
          <a:ln w="3175">
            <a:solidFill>
              <a:srgbClr val="808080"/>
            </a:solidFill>
          </a:ln>
        </c:spPr>
        <c:crossAx val="50048808"/>
        <c:crosses val="autoZero"/>
        <c:auto val="1"/>
        <c:lblOffset val="100"/>
        <c:tickLblSkip val="1"/>
        <c:noMultiLvlLbl val="0"/>
      </c:catAx>
      <c:valAx>
        <c:axId val="5004880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3017519"/>
        <c:crossesAt val="1"/>
        <c:crossBetween val="between"/>
        <c:dispUnits/>
      </c:valAx>
      <c:spPr>
        <a:solidFill>
          <a:srgbClr val="FFFFFF"/>
        </a:solidFill>
        <a:ln w="3175">
          <a:noFill/>
        </a:ln>
      </c:spPr>
    </c:plotArea>
    <c:legend>
      <c:legendPos val="b"/>
      <c:layout>
        <c:manualLayout>
          <c:xMode val="edge"/>
          <c:yMode val="edge"/>
          <c:x val="0.04275"/>
          <c:y val="0.92575"/>
          <c:w val="0.9125"/>
          <c:h val="0.05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7</xdr:col>
      <xdr:colOff>495300</xdr:colOff>
      <xdr:row>29</xdr:row>
      <xdr:rowOff>9525</xdr:rowOff>
    </xdr:to>
    <xdr:graphicFrame>
      <xdr:nvGraphicFramePr>
        <xdr:cNvPr id="1" name="Chart 1"/>
        <xdr:cNvGraphicFramePr/>
      </xdr:nvGraphicFramePr>
      <xdr:xfrm>
        <a:off x="0" y="1143000"/>
        <a:ext cx="703897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619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21"/>
  <sheetViews>
    <sheetView tabSelected="1" zoomScalePageLayoutView="0" workbookViewId="0" topLeftCell="A1">
      <selection activeCell="A1" sqref="A1"/>
    </sheetView>
  </sheetViews>
  <sheetFormatPr defaultColWidth="10.140625" defaultRowHeight="12.75"/>
  <cols>
    <col min="1" max="1" width="27.28125" style="2" customWidth="1"/>
    <col min="2" max="2" width="12.7109375" style="2" customWidth="1"/>
    <col min="3" max="3" width="11.00390625" style="2" customWidth="1"/>
    <col min="4" max="4" width="11.57421875" style="2" customWidth="1"/>
    <col min="5" max="5" width="12.140625" style="2" customWidth="1"/>
    <col min="6" max="6" width="10.140625" style="2" customWidth="1"/>
    <col min="7" max="7" width="13.28125" style="2" customWidth="1"/>
    <col min="8" max="8" width="11.421875" style="2" customWidth="1"/>
    <col min="9" max="9" width="10.140625" style="2" customWidth="1"/>
    <col min="10" max="10" width="11.57421875" style="2" customWidth="1"/>
    <col min="11" max="24" width="10.140625" style="2" customWidth="1"/>
    <col min="25" max="25" width="10.421875" style="2" customWidth="1"/>
    <col min="26" max="16384" width="10.140625" style="2" customWidth="1"/>
  </cols>
  <sheetData>
    <row r="1" s="3" customFormat="1" ht="12.75">
      <c r="A1" s="32" t="s">
        <v>34</v>
      </c>
    </row>
    <row r="2" spans="1:2" s="3" customFormat="1" ht="12.75">
      <c r="A2" s="3" t="s">
        <v>35</v>
      </c>
      <c r="B2" s="3" t="s">
        <v>36</v>
      </c>
    </row>
    <row r="3" s="3" customFormat="1" ht="12.75">
      <c r="A3" s="3" t="s">
        <v>37</v>
      </c>
    </row>
    <row r="4" s="3" customFormat="1" ht="12.75">
      <c r="A4" s="3" t="s">
        <v>38</v>
      </c>
    </row>
    <row r="5" s="3" customFormat="1" ht="12.75"/>
    <row r="6" ht="12.75">
      <c r="A6" s="1" t="s">
        <v>31</v>
      </c>
    </row>
    <row r="7" ht="12.75">
      <c r="A7" s="1"/>
    </row>
    <row r="31" ht="12.75">
      <c r="A31" t="s">
        <v>8</v>
      </c>
    </row>
    <row r="32" ht="12.75">
      <c r="A32" s="2" t="s">
        <v>32</v>
      </c>
    </row>
    <row r="34" spans="2:5" ht="12.75">
      <c r="B34" s="12" t="s">
        <v>9</v>
      </c>
      <c r="C34" s="12" t="s">
        <v>10</v>
      </c>
      <c r="D34" s="12" t="s">
        <v>11</v>
      </c>
      <c r="E34" s="12" t="s">
        <v>12</v>
      </c>
    </row>
    <row r="35" spans="1:5" ht="12.75">
      <c r="A35" s="9" t="str">
        <f>"Background"</f>
        <v>Background</v>
      </c>
      <c r="B35" s="13">
        <v>3.72</v>
      </c>
      <c r="C35" s="13">
        <v>4.334</v>
      </c>
      <c r="D35" s="13">
        <v>0.261</v>
      </c>
      <c r="E35" s="13">
        <v>5.773</v>
      </c>
    </row>
    <row r="36" spans="1:5" ht="12.75">
      <c r="A36" s="10" t="str">
        <f>"School resources"</f>
        <v>School resources</v>
      </c>
      <c r="B36" s="13">
        <v>0.95</v>
      </c>
      <c r="C36" s="13">
        <v>1.074</v>
      </c>
      <c r="D36" s="13">
        <v>0.055</v>
      </c>
      <c r="E36" s="13">
        <v>3.74</v>
      </c>
    </row>
    <row r="37" spans="1:5" ht="12.75">
      <c r="A37" s="10" t="str">
        <f>"School processes"</f>
        <v>School processes</v>
      </c>
      <c r="B37" s="13">
        <v>7.97</v>
      </c>
      <c r="C37" s="13">
        <v>-1.57</v>
      </c>
      <c r="D37" s="13">
        <v>35.8</v>
      </c>
      <c r="E37" s="13">
        <v>2.36</v>
      </c>
    </row>
    <row r="38" spans="1:5" ht="12.75">
      <c r="A38" s="10" t="str">
        <f>"Difference in grade levels"</f>
        <v>Difference in grade levels</v>
      </c>
      <c r="B38" s="13">
        <v>-0.659</v>
      </c>
      <c r="C38" s="13">
        <v>0.271</v>
      </c>
      <c r="D38" s="13">
        <v>0.37</v>
      </c>
      <c r="E38" s="13">
        <v>-1.91</v>
      </c>
    </row>
    <row r="39" spans="1:5" ht="12.75">
      <c r="A39" s="10" t="str">
        <f>"School's ESCS composition"</f>
        <v>School's ESCS composition</v>
      </c>
      <c r="B39" s="13">
        <v>46.99</v>
      </c>
      <c r="C39" s="13">
        <v>36.74</v>
      </c>
      <c r="D39" s="13">
        <v>19.04</v>
      </c>
      <c r="E39" s="13">
        <v>28.08</v>
      </c>
    </row>
    <row r="40" spans="1:5" ht="12.75">
      <c r="A40" s="11" t="s">
        <v>13</v>
      </c>
      <c r="B40" s="13">
        <v>32.14</v>
      </c>
      <c r="C40" s="13">
        <v>35.63</v>
      </c>
      <c r="D40" s="13">
        <v>7.782</v>
      </c>
      <c r="E40" s="13">
        <v>3.39</v>
      </c>
    </row>
    <row r="41" spans="1:5" ht="12.75">
      <c r="A41" t="s">
        <v>8</v>
      </c>
      <c r="B41" s="4"/>
      <c r="C41" s="4"/>
      <c r="D41" s="4"/>
      <c r="E41" s="4"/>
    </row>
    <row r="42" ht="12.75">
      <c r="A42" s="2" t="s">
        <v>6</v>
      </c>
    </row>
    <row r="45" spans="1:10" ht="12.75">
      <c r="A45" s="35" t="s">
        <v>0</v>
      </c>
      <c r="B45" s="36"/>
      <c r="C45" s="36"/>
      <c r="D45" s="36"/>
      <c r="E45" s="36"/>
      <c r="F45" s="36"/>
      <c r="G45" s="36"/>
      <c r="H45" s="36"/>
      <c r="I45" s="36"/>
      <c r="J45" s="37"/>
    </row>
    <row r="46" spans="1:10" ht="12.75">
      <c r="A46" s="17">
        <f>""</f>
      </c>
      <c r="B46" s="14" t="s">
        <v>9</v>
      </c>
      <c r="C46" s="15" t="s">
        <v>10</v>
      </c>
      <c r="D46" s="15" t="s">
        <v>11</v>
      </c>
      <c r="E46" s="16" t="s">
        <v>12</v>
      </c>
      <c r="F46" s="4"/>
      <c r="G46" s="14" t="s">
        <v>9</v>
      </c>
      <c r="H46" s="15" t="s">
        <v>10</v>
      </c>
      <c r="I46" s="15" t="s">
        <v>11</v>
      </c>
      <c r="J46" s="16" t="s">
        <v>12</v>
      </c>
    </row>
    <row r="47" spans="1:10" ht="12.75">
      <c r="A47" s="17"/>
      <c r="B47" s="9" t="s">
        <v>1</v>
      </c>
      <c r="C47" s="4"/>
      <c r="D47" s="4"/>
      <c r="E47" s="4"/>
      <c r="F47" s="4"/>
      <c r="G47" s="9" t="s">
        <v>2</v>
      </c>
      <c r="H47" s="4"/>
      <c r="I47" s="4"/>
      <c r="J47" s="6"/>
    </row>
    <row r="48" spans="1:10" ht="12.75">
      <c r="A48" s="31" t="str">
        <f>"Differential"</f>
        <v>Differential</v>
      </c>
      <c r="B48" s="28">
        <f>""</f>
      </c>
      <c r="C48" s="28">
        <f>""</f>
      </c>
      <c r="D48" s="28">
        <f>""</f>
      </c>
      <c r="E48" s="28">
        <f>""</f>
      </c>
      <c r="F48" s="28"/>
      <c r="G48" s="28">
        <f>""</f>
      </c>
      <c r="H48" s="28">
        <f>""</f>
      </c>
      <c r="I48" s="28">
        <f>""</f>
      </c>
      <c r="J48" s="29">
        <f>""</f>
      </c>
    </row>
    <row r="49" spans="1:10" ht="12.75">
      <c r="A49" s="17" t="s">
        <v>3</v>
      </c>
      <c r="B49" s="4" t="str">
        <f>"519.2***"</f>
        <v>519.2***</v>
      </c>
      <c r="C49" s="4" t="str">
        <f>"460.7***"</f>
        <v>460.7***</v>
      </c>
      <c r="D49" s="4" t="str">
        <f>"471.8***"</f>
        <v>471.8***</v>
      </c>
      <c r="E49" s="4" t="str">
        <f>"456.0***"</f>
        <v>456.0***</v>
      </c>
      <c r="F49" s="4"/>
      <c r="G49" s="4" t="str">
        <f>"519.2***"</f>
        <v>519.2***</v>
      </c>
      <c r="H49" s="4" t="str">
        <f>"460.7***"</f>
        <v>460.7***</v>
      </c>
      <c r="I49" s="4" t="str">
        <f>"471.8***"</f>
        <v>471.8***</v>
      </c>
      <c r="J49" s="6" t="str">
        <f>"456.0***"</f>
        <v>456.0***</v>
      </c>
    </row>
    <row r="50" spans="1:10" ht="12.75">
      <c r="A50" s="17">
        <f>""</f>
      </c>
      <c r="B50" s="4" t="str">
        <f>"(64.04)"</f>
        <v>(64.04)</v>
      </c>
      <c r="C50" s="4" t="str">
        <f>"(224.44)"</f>
        <v>(224.44)</v>
      </c>
      <c r="D50" s="4" t="str">
        <f>"(63.66)"</f>
        <v>(63.66)</v>
      </c>
      <c r="E50" s="4" t="str">
        <f>"(84.40)"</f>
        <v>(84.40)</v>
      </c>
      <c r="F50" s="4"/>
      <c r="G50" s="4" t="str">
        <f>"(64.04)"</f>
        <v>(64.04)</v>
      </c>
      <c r="H50" s="4" t="str">
        <f>"(224.44)"</f>
        <v>(224.44)</v>
      </c>
      <c r="I50" s="4" t="str">
        <f>"(63.66)"</f>
        <v>(63.66)</v>
      </c>
      <c r="J50" s="6" t="str">
        <f>"(84.40)"</f>
        <v>(84.40)</v>
      </c>
    </row>
    <row r="51" spans="1:10" ht="12.75">
      <c r="A51" s="17"/>
      <c r="B51" s="4"/>
      <c r="C51" s="4"/>
      <c r="D51" s="4"/>
      <c r="E51" s="4"/>
      <c r="F51" s="4"/>
      <c r="G51" s="4"/>
      <c r="H51" s="4"/>
      <c r="I51" s="4"/>
      <c r="J51" s="6"/>
    </row>
    <row r="52" spans="1:10" ht="12.75">
      <c r="A52" s="17" t="s">
        <v>4</v>
      </c>
      <c r="B52" s="4" t="str">
        <f>"428.1***"</f>
        <v>428.1***</v>
      </c>
      <c r="C52" s="4" t="str">
        <f>"384.2***"</f>
        <v>384.2***</v>
      </c>
      <c r="D52" s="4" t="str">
        <f>"408.5***"</f>
        <v>408.5***</v>
      </c>
      <c r="E52" s="4" t="str">
        <f>"414.6***"</f>
        <v>414.6***</v>
      </c>
      <c r="F52" s="4"/>
      <c r="G52" s="4" t="str">
        <f>"428.1***"</f>
        <v>428.1***</v>
      </c>
      <c r="H52" s="4" t="str">
        <f>"384.2***"</f>
        <v>384.2***</v>
      </c>
      <c r="I52" s="4" t="str">
        <f>"408.5***"</f>
        <v>408.5***</v>
      </c>
      <c r="J52" s="6" t="str">
        <f>"414.6***"</f>
        <v>414.6***</v>
      </c>
    </row>
    <row r="53" spans="1:10" ht="12.75">
      <c r="A53" s="17">
        <f>""</f>
      </c>
      <c r="B53" s="4" t="str">
        <f>"(113.30)"</f>
        <v>(113.30)</v>
      </c>
      <c r="C53" s="4" t="str">
        <f>"(317.89)"</f>
        <v>(317.89)</v>
      </c>
      <c r="D53" s="4" t="str">
        <f>"(130.16)"</f>
        <v>(130.16)</v>
      </c>
      <c r="E53" s="4" t="str">
        <f>"(76.61)"</f>
        <v>(76.61)</v>
      </c>
      <c r="F53" s="4"/>
      <c r="G53" s="4" t="str">
        <f>"(113.30)"</f>
        <v>(113.30)</v>
      </c>
      <c r="H53" s="4" t="str">
        <f>"(317.89)"</f>
        <v>(317.89)</v>
      </c>
      <c r="I53" s="4" t="str">
        <f>"(130.16)"</f>
        <v>(130.16)</v>
      </c>
      <c r="J53" s="6" t="str">
        <f>"(76.61)"</f>
        <v>(76.61)</v>
      </c>
    </row>
    <row r="54" spans="1:10" ht="12.75">
      <c r="A54" s="17"/>
      <c r="B54" s="4"/>
      <c r="C54" s="4"/>
      <c r="D54" s="4"/>
      <c r="E54" s="4"/>
      <c r="F54" s="4"/>
      <c r="G54" s="4"/>
      <c r="H54" s="4"/>
      <c r="I54" s="4"/>
      <c r="J54" s="6"/>
    </row>
    <row r="55" spans="1:10" ht="12.75">
      <c r="A55" s="17" t="str">
        <f>"Difference"</f>
        <v>Difference</v>
      </c>
      <c r="B55" s="4" t="str">
        <f>"91.13***"</f>
        <v>91.13***</v>
      </c>
      <c r="C55" s="4" t="str">
        <f>"76.48***"</f>
        <v>76.48***</v>
      </c>
      <c r="D55" s="4" t="str">
        <f>"63.35***"</f>
        <v>63.35***</v>
      </c>
      <c r="E55" s="4" t="str">
        <f>"41.42***"</f>
        <v>41.42***</v>
      </c>
      <c r="F55" s="4"/>
      <c r="G55" s="4" t="str">
        <f>"91.13***"</f>
        <v>91.13***</v>
      </c>
      <c r="H55" s="4" t="str">
        <f>"76.48***"</f>
        <v>76.48***</v>
      </c>
      <c r="I55" s="4" t="str">
        <f>"63.35***"</f>
        <v>63.35***</v>
      </c>
      <c r="J55" s="6" t="str">
        <f>"41.42***"</f>
        <v>41.42***</v>
      </c>
    </row>
    <row r="56" spans="1:10" ht="12.75">
      <c r="A56" s="17">
        <f>""</f>
      </c>
      <c r="B56" s="4" t="str">
        <f>"(10.37)"</f>
        <v>(10.37)</v>
      </c>
      <c r="C56" s="4" t="str">
        <f>"(29.98)"</f>
        <v>(29.98)</v>
      </c>
      <c r="D56" s="4" t="str">
        <f>"(8.13)"</f>
        <v>(8.13)</v>
      </c>
      <c r="E56" s="4" t="str">
        <f>"(5.42)"</f>
        <v>(5.42)</v>
      </c>
      <c r="F56" s="4"/>
      <c r="G56" s="4" t="str">
        <f>"(10.37)"</f>
        <v>(10.37)</v>
      </c>
      <c r="H56" s="4" t="str">
        <f>"(29.98)"</f>
        <v>(29.98)</v>
      </c>
      <c r="I56" s="4" t="str">
        <f>"(8.13)"</f>
        <v>(8.13)</v>
      </c>
      <c r="J56" s="6" t="str">
        <f>"(5.42)"</f>
        <v>(5.42)</v>
      </c>
    </row>
    <row r="57" spans="1:10" ht="12.75">
      <c r="A57" s="17"/>
      <c r="B57" s="4"/>
      <c r="C57" s="4"/>
      <c r="D57" s="4"/>
      <c r="E57" s="4"/>
      <c r="F57" s="4"/>
      <c r="G57" s="4"/>
      <c r="H57" s="4"/>
      <c r="I57" s="4"/>
      <c r="J57" s="6"/>
    </row>
    <row r="58" spans="1:10" ht="12.75">
      <c r="A58" s="31" t="str">
        <f>"Explained"</f>
        <v>Explained</v>
      </c>
      <c r="B58" s="28">
        <f>""</f>
      </c>
      <c r="C58" s="28">
        <f>""</f>
      </c>
      <c r="D58" s="28">
        <f>""</f>
      </c>
      <c r="E58" s="28">
        <f>""</f>
      </c>
      <c r="F58" s="28"/>
      <c r="G58" s="28">
        <f>""</f>
      </c>
      <c r="H58" s="28">
        <f>""</f>
      </c>
      <c r="I58" s="28">
        <f>""</f>
      </c>
      <c r="J58" s="29">
        <f>""</f>
      </c>
    </row>
    <row r="59" spans="1:10" ht="12.75">
      <c r="A59" s="17" t="str">
        <f>"Background"</f>
        <v>Background</v>
      </c>
      <c r="B59" s="4" t="str">
        <f>"3.720**"</f>
        <v>3.720**</v>
      </c>
      <c r="C59" s="4" t="str">
        <f>"4.334***"</f>
        <v>4.334***</v>
      </c>
      <c r="D59" s="4" t="str">
        <f>"0.261"</f>
        <v>0.261</v>
      </c>
      <c r="E59" s="4" t="str">
        <f>"5.773***"</f>
        <v>5.773***</v>
      </c>
      <c r="F59" s="4"/>
      <c r="G59" s="4" t="str">
        <f>"9.711***"</f>
        <v>9.711***</v>
      </c>
      <c r="H59" s="4" t="str">
        <f>"9.938***"</f>
        <v>9.938***</v>
      </c>
      <c r="I59" s="4" t="str">
        <f>"3.562*"</f>
        <v>3.562*</v>
      </c>
      <c r="J59" s="6" t="str">
        <f>"13.91***"</f>
        <v>13.91***</v>
      </c>
    </row>
    <row r="60" spans="1:10" ht="12.75">
      <c r="A60" s="17">
        <f>""</f>
      </c>
      <c r="B60" s="4" t="str">
        <f>"(2.83)"</f>
        <v>(2.83)</v>
      </c>
      <c r="C60" s="4" t="str">
        <f>"(4.72)"</f>
        <v>(4.72)</v>
      </c>
      <c r="D60" s="4" t="str">
        <f>"(0.20)"</f>
        <v>(0.20)</v>
      </c>
      <c r="E60" s="4" t="str">
        <f>"(4.23)"</f>
        <v>(4.23)</v>
      </c>
      <c r="F60" s="4"/>
      <c r="G60" s="4" t="str">
        <f>"(4.87)"</f>
        <v>(4.87)</v>
      </c>
      <c r="H60" s="4" t="str">
        <f>"(10.07)"</f>
        <v>(10.07)</v>
      </c>
      <c r="I60" s="4" t="str">
        <f>"(2.10)"</f>
        <v>(2.10)</v>
      </c>
      <c r="J60" s="6" t="str">
        <f>"(6.18)"</f>
        <v>(6.18)</v>
      </c>
    </row>
    <row r="61" spans="1:10" ht="12.75">
      <c r="A61" s="17"/>
      <c r="B61" s="4"/>
      <c r="C61" s="4"/>
      <c r="D61" s="4"/>
      <c r="E61" s="4"/>
      <c r="F61" s="4"/>
      <c r="G61" s="4"/>
      <c r="H61" s="4"/>
      <c r="I61" s="4"/>
      <c r="J61" s="6"/>
    </row>
    <row r="62" spans="1:10" ht="12.75">
      <c r="A62" s="17" t="str">
        <f>"School resources"</f>
        <v>School resources</v>
      </c>
      <c r="B62" s="4" t="str">
        <f>"0.956"</f>
        <v>0.956</v>
      </c>
      <c r="C62" s="4" t="str">
        <f>"1.074"</f>
        <v>1.074</v>
      </c>
      <c r="D62" s="4" t="str">
        <f>"0.0555"</f>
        <v>0.0555</v>
      </c>
      <c r="E62" s="4" t="str">
        <f>"3.713"</f>
        <v>3.713</v>
      </c>
      <c r="F62" s="4"/>
      <c r="G62" s="4" t="str">
        <f>"4.973*"</f>
        <v>4.973*</v>
      </c>
      <c r="H62" s="4" t="str">
        <f>"-1.176"</f>
        <v>-1.176</v>
      </c>
      <c r="I62" s="4" t="str">
        <f>"3.765"</f>
        <v>3.765</v>
      </c>
      <c r="J62" s="6" t="str">
        <f>"6.370*"</f>
        <v>6.370*</v>
      </c>
    </row>
    <row r="63" spans="1:10" ht="12.75">
      <c r="A63" s="17">
        <f>""</f>
      </c>
      <c r="B63" s="4" t="str">
        <f>"(0.45)"</f>
        <v>(0.45)</v>
      </c>
      <c r="C63" s="4" t="str">
        <f>"(1.56)"</f>
        <v>(1.56)</v>
      </c>
      <c r="D63" s="4" t="str">
        <f>"(0.02)"</f>
        <v>(0.02)</v>
      </c>
      <c r="E63" s="4" t="str">
        <f>"(1.90)"</f>
        <v>(1.90)</v>
      </c>
      <c r="F63" s="4"/>
      <c r="G63" s="4" t="str">
        <f>"(2.10)"</f>
        <v>(2.10)</v>
      </c>
      <c r="H63" s="4" t="str">
        <f>"(-1.42)"</f>
        <v>(-1.42)</v>
      </c>
      <c r="I63" s="4" t="str">
        <f>"(1.15)"</f>
        <v>(1.15)</v>
      </c>
      <c r="J63" s="6" t="str">
        <f>"(2.47)"</f>
        <v>(2.47)</v>
      </c>
    </row>
    <row r="64" spans="1:10" ht="12.75">
      <c r="A64" s="17"/>
      <c r="B64" s="4"/>
      <c r="C64" s="4"/>
      <c r="D64" s="4"/>
      <c r="E64" s="4"/>
      <c r="F64" s="4"/>
      <c r="G64" s="4"/>
      <c r="H64" s="4"/>
      <c r="I64" s="4"/>
      <c r="J64" s="6"/>
    </row>
    <row r="65" spans="1:10" ht="12.75">
      <c r="A65" s="17" t="str">
        <f>"School processes"</f>
        <v>School processes</v>
      </c>
      <c r="B65" s="4" t="str">
        <f>"7.979"</f>
        <v>7.979</v>
      </c>
      <c r="C65" s="4" t="str">
        <f>"-1.574"</f>
        <v>-1.574</v>
      </c>
      <c r="D65" s="4" t="str">
        <f>"35.84***"</f>
        <v>35.84***</v>
      </c>
      <c r="E65" s="4" t="str">
        <f>"2.364"</f>
        <v>2.364</v>
      </c>
      <c r="F65" s="4"/>
      <c r="G65" s="4" t="str">
        <f>"20.21"</f>
        <v>20.21</v>
      </c>
      <c r="H65" s="4" t="str">
        <f>"20.09***"</f>
        <v>20.09***</v>
      </c>
      <c r="I65" s="4" t="str">
        <f>"44.47***"</f>
        <v>44.47***</v>
      </c>
      <c r="J65" s="6" t="str">
        <f>"-0.523"</f>
        <v>-0.523</v>
      </c>
    </row>
    <row r="66" spans="1:10" ht="12.75">
      <c r="A66" s="17">
        <f>""</f>
      </c>
      <c r="B66" s="4" t="str">
        <f>"(0.89)"</f>
        <v>(0.89)</v>
      </c>
      <c r="C66" s="4" t="str">
        <f>"(-0.48)"</f>
        <v>(-0.48)</v>
      </c>
      <c r="D66" s="4" t="str">
        <f>"(6.50)"</f>
        <v>(6.50)</v>
      </c>
      <c r="E66" s="4" t="str">
        <f>"(0.59)"</f>
        <v>(0.59)</v>
      </c>
      <c r="F66" s="4"/>
      <c r="G66" s="4" t="str">
        <f>"(1.97)"</f>
        <v>(1.97)</v>
      </c>
      <c r="H66" s="4" t="str">
        <f>"(5.95)"</f>
        <v>(5.95)</v>
      </c>
      <c r="I66" s="4" t="str">
        <f>"(7.21)"</f>
        <v>(7.21)</v>
      </c>
      <c r="J66" s="6" t="str">
        <f>"(-0.11)"</f>
        <v>(-0.11)</v>
      </c>
    </row>
    <row r="67" spans="1:10" ht="12.75">
      <c r="A67" s="17"/>
      <c r="B67" s="4"/>
      <c r="C67" s="4"/>
      <c r="D67" s="4"/>
      <c r="E67" s="4"/>
      <c r="F67" s="4"/>
      <c r="G67" s="4"/>
      <c r="H67" s="4"/>
      <c r="I67" s="4"/>
      <c r="J67" s="6"/>
    </row>
    <row r="68" spans="1:10" ht="12.75">
      <c r="A68" s="17" t="str">
        <f>"Grade"</f>
        <v>Grade</v>
      </c>
      <c r="B68" s="4" t="str">
        <f>"-0.659"</f>
        <v>-0.659</v>
      </c>
      <c r="C68" s="4" t="str">
        <f>"0.271***"</f>
        <v>0.271***</v>
      </c>
      <c r="D68" s="4" t="str">
        <f>"0.371"</f>
        <v>0.371</v>
      </c>
      <c r="E68" s="4" t="str">
        <f>"-1.915*"</f>
        <v>-1.915*</v>
      </c>
      <c r="F68" s="4"/>
      <c r="G68" s="4" t="str">
        <f>"-2.204"</f>
        <v>-2.204</v>
      </c>
      <c r="H68" s="4" t="str">
        <f>"-0.0103"</f>
        <v>-0.0103</v>
      </c>
      <c r="I68" s="4" t="str">
        <f>"-1.543"</f>
        <v>-1.543</v>
      </c>
      <c r="J68" s="6" t="str">
        <f>"-3.717***"</f>
        <v>-3.717***</v>
      </c>
    </row>
    <row r="69" spans="1:10" ht="12.75">
      <c r="A69" s="17">
        <f>""</f>
      </c>
      <c r="B69" s="4" t="str">
        <f>"(-0.66)"</f>
        <v>(-0.66)</v>
      </c>
      <c r="C69" s="4" t="str">
        <f>"(3.68)"</f>
        <v>(3.68)</v>
      </c>
      <c r="D69" s="4" t="str">
        <f>"(0.28)"</f>
        <v>(0.28)</v>
      </c>
      <c r="E69" s="4" t="str">
        <f>"(-2.63)"</f>
        <v>(-2.63)</v>
      </c>
      <c r="F69" s="4"/>
      <c r="G69" s="4" t="str">
        <f>"(-1.20)"</f>
        <v>(-1.20)</v>
      </c>
      <c r="H69" s="4" t="str">
        <f>"(-0.08)"</f>
        <v>(-0.08)</v>
      </c>
      <c r="I69" s="4" t="str">
        <f>"(-1.12)"</f>
        <v>(-1.12)</v>
      </c>
      <c r="J69" s="6" t="str">
        <f>"(-4.26)"</f>
        <v>(-4.26)</v>
      </c>
    </row>
    <row r="70" spans="1:10" ht="12.75">
      <c r="A70" s="17"/>
      <c r="B70" s="4"/>
      <c r="C70" s="4"/>
      <c r="D70" s="4"/>
      <c r="E70" s="4"/>
      <c r="F70" s="4"/>
      <c r="G70" s="4"/>
      <c r="H70" s="4"/>
      <c r="I70" s="4"/>
      <c r="J70" s="6"/>
    </row>
    <row r="71" spans="1:10" ht="12.75">
      <c r="A71" s="17" t="str">
        <f>"Peer"</f>
        <v>Peer</v>
      </c>
      <c r="B71" s="4" t="str">
        <f>"46.99***"</f>
        <v>46.99***</v>
      </c>
      <c r="C71" s="4" t="str">
        <f>"36.74***"</f>
        <v>36.74***</v>
      </c>
      <c r="D71" s="4" t="str">
        <f>"19.04***"</f>
        <v>19.04***</v>
      </c>
      <c r="E71" s="4" t="str">
        <f>"28.08***"</f>
        <v>28.08***</v>
      </c>
      <c r="F71" s="4"/>
      <c r="G71" s="4">
        <f>""</f>
      </c>
      <c r="H71" s="4">
        <f>""</f>
      </c>
      <c r="I71" s="4">
        <f>""</f>
      </c>
      <c r="J71" s="6">
        <f>""</f>
      </c>
    </row>
    <row r="72" spans="1:10" ht="12.75">
      <c r="A72" s="17">
        <f>""</f>
      </c>
      <c r="B72" s="4" t="str">
        <f>"(5.39)"</f>
        <v>(5.39)</v>
      </c>
      <c r="C72" s="4" t="str">
        <f>"(16.97)"</f>
        <v>(16.97)</v>
      </c>
      <c r="D72" s="4" t="str">
        <f>"(5.00)"</f>
        <v>(5.00)</v>
      </c>
      <c r="E72" s="4" t="str">
        <f>"(5.89)"</f>
        <v>(5.89)</v>
      </c>
      <c r="F72" s="4"/>
      <c r="G72" s="4">
        <f>""</f>
      </c>
      <c r="H72" s="4">
        <f>""</f>
      </c>
      <c r="I72" s="4">
        <f>""</f>
      </c>
      <c r="J72" s="6">
        <f>""</f>
      </c>
    </row>
    <row r="73" spans="1:10" ht="12.75">
      <c r="A73" s="17"/>
      <c r="B73" s="4"/>
      <c r="C73" s="4"/>
      <c r="D73" s="4"/>
      <c r="E73" s="4"/>
      <c r="F73" s="4"/>
      <c r="G73" s="4"/>
      <c r="H73" s="4"/>
      <c r="I73" s="4"/>
      <c r="J73" s="6"/>
    </row>
    <row r="74" spans="1:10" ht="12.75">
      <c r="A74" s="17" t="str">
        <f>"Total"</f>
        <v>Total</v>
      </c>
      <c r="B74" s="4" t="str">
        <f>"58.98***"</f>
        <v>58.98***</v>
      </c>
      <c r="C74" s="4" t="str">
        <f>"40.85***"</f>
        <v>40.85***</v>
      </c>
      <c r="D74" s="4" t="str">
        <f>"55.57***"</f>
        <v>55.57***</v>
      </c>
      <c r="E74" s="4" t="str">
        <f>"38.02***"</f>
        <v>38.02***</v>
      </c>
      <c r="F74" s="4"/>
      <c r="G74" s="4" t="str">
        <f>"32.68**"</f>
        <v>32.68**</v>
      </c>
      <c r="H74" s="4" t="str">
        <f>"28.84***"</f>
        <v>28.84***</v>
      </c>
      <c r="I74" s="4" t="str">
        <f>"50.26***"</f>
        <v>50.26***</v>
      </c>
      <c r="J74" s="6" t="str">
        <f>"16.04*"</f>
        <v>16.04*</v>
      </c>
    </row>
    <row r="75" spans="1:10" ht="12.75">
      <c r="A75" s="17">
        <f>""</f>
      </c>
      <c r="B75" s="4" t="str">
        <f>"(4.72)"</f>
        <v>(4.72)</v>
      </c>
      <c r="C75" s="4" t="str">
        <f>"(12.12)"</f>
        <v>(12.12)</v>
      </c>
      <c r="D75" s="4" t="str">
        <f>"(6.85)"</f>
        <v>(6.85)</v>
      </c>
      <c r="E75" s="4" t="str">
        <f>"(5.01)"</f>
        <v>(5.01)</v>
      </c>
      <c r="F75" s="4"/>
      <c r="G75" s="4" t="str">
        <f>"(2.95)"</f>
        <v>(2.95)</v>
      </c>
      <c r="H75" s="4" t="str">
        <f>"(8.72)"</f>
        <v>(8.72)</v>
      </c>
      <c r="I75" s="4" t="str">
        <f>"(6.45)"</f>
        <v>(6.45)</v>
      </c>
      <c r="J75" s="6" t="str">
        <f>"(2.37)"</f>
        <v>(2.37)</v>
      </c>
    </row>
    <row r="76" spans="1:10" ht="12.75">
      <c r="A76" s="17"/>
      <c r="B76" s="4"/>
      <c r="C76" s="4"/>
      <c r="D76" s="4"/>
      <c r="E76" s="4"/>
      <c r="F76" s="4"/>
      <c r="G76" s="4"/>
      <c r="H76" s="4"/>
      <c r="I76" s="4"/>
      <c r="J76" s="6"/>
    </row>
    <row r="77" spans="1:10" ht="12.75">
      <c r="A77" s="4" t="str">
        <f>"Unexplained"</f>
        <v>Unexplained</v>
      </c>
      <c r="B77" s="4">
        <f>""</f>
      </c>
      <c r="C77" s="4">
        <f>""</f>
      </c>
      <c r="D77" s="4">
        <f>""</f>
      </c>
      <c r="E77" s="4">
        <f>""</f>
      </c>
      <c r="F77" s="4"/>
      <c r="G77" s="4">
        <f>""</f>
      </c>
      <c r="H77" s="4">
        <f>""</f>
      </c>
      <c r="I77" s="4">
        <f>""</f>
      </c>
      <c r="J77" s="4">
        <f>""</f>
      </c>
    </row>
    <row r="78" spans="1:10" ht="12.75">
      <c r="A78" s="17" t="str">
        <f>"Background"</f>
        <v>Background</v>
      </c>
      <c r="B78" s="4" t="str">
        <f>"14.14"</f>
        <v>14.14</v>
      </c>
      <c r="C78" s="4" t="str">
        <f>"-5.045"</f>
        <v>-5.045</v>
      </c>
      <c r="D78" s="4" t="str">
        <f>"-23.53"</f>
        <v>-23.53</v>
      </c>
      <c r="E78" s="4" t="str">
        <f>"-0.145"</f>
        <v>-0.145</v>
      </c>
      <c r="F78" s="4"/>
      <c r="G78" s="4" t="str">
        <f>"14.69"</f>
        <v>14.69</v>
      </c>
      <c r="H78" s="4" t="str">
        <f>"6.951"</f>
        <v>6.951</v>
      </c>
      <c r="I78" s="4" t="str">
        <f>"-31.18*"</f>
        <v>-31.18*</v>
      </c>
      <c r="J78" s="6" t="str">
        <f>"-4.785"</f>
        <v>-4.785</v>
      </c>
    </row>
    <row r="79" spans="1:10" ht="12.75">
      <c r="A79" s="17">
        <f>""</f>
      </c>
      <c r="B79" s="4" t="str">
        <f>"(1.19)"</f>
        <v>(1.19)</v>
      </c>
      <c r="C79" s="4" t="str">
        <f>"(-0.19)"</f>
        <v>(-0.19)</v>
      </c>
      <c r="D79" s="4" t="str">
        <f>"(-1.66)"</f>
        <v>(-1.66)</v>
      </c>
      <c r="E79" s="4" t="str">
        <f>"(-0.01)"</f>
        <v>(-0.01)</v>
      </c>
      <c r="F79" s="4"/>
      <c r="G79" s="4" t="str">
        <f>"(1.19)"</f>
        <v>(1.19)</v>
      </c>
      <c r="H79" s="4" t="str">
        <f>"(0.24)"</f>
        <v>(0.24)</v>
      </c>
      <c r="I79" s="4" t="str">
        <f>"(-2.08)"</f>
        <v>(-2.08)</v>
      </c>
      <c r="J79" s="6" t="str">
        <f>"(-0.45)"</f>
        <v>(-0.45)</v>
      </c>
    </row>
    <row r="80" spans="1:10" ht="12.75">
      <c r="A80" s="17"/>
      <c r="B80" s="4"/>
      <c r="C80" s="4"/>
      <c r="D80" s="4"/>
      <c r="E80" s="4"/>
      <c r="F80" s="4"/>
      <c r="G80" s="4"/>
      <c r="H80" s="4"/>
      <c r="I80" s="4"/>
      <c r="J80" s="6"/>
    </row>
    <row r="81" spans="1:10" ht="12.75">
      <c r="A81" s="17" t="str">
        <f>"School resources"</f>
        <v>School resources</v>
      </c>
      <c r="B81" s="4" t="str">
        <f>"11.50"</f>
        <v>11.50</v>
      </c>
      <c r="C81" s="4" t="str">
        <f>"8.160"</f>
        <v>8.160</v>
      </c>
      <c r="D81" s="4" t="str">
        <f>"0.222"</f>
        <v>0.222</v>
      </c>
      <c r="E81" s="4" t="str">
        <f>"-16.39"</f>
        <v>-16.39</v>
      </c>
      <c r="F81" s="4"/>
      <c r="G81" s="4" t="str">
        <f>"4.570"</f>
        <v>4.570</v>
      </c>
      <c r="H81" s="4" t="str">
        <f>"40.63**"</f>
        <v>40.63**</v>
      </c>
      <c r="I81" s="4" t="str">
        <f>"-6.145"</f>
        <v>-6.145</v>
      </c>
      <c r="J81" s="6" t="str">
        <f>"1.150"</f>
        <v>1.150</v>
      </c>
    </row>
    <row r="82" spans="1:10" ht="12.75">
      <c r="A82" s="17">
        <f>""</f>
      </c>
      <c r="B82" s="4" t="str">
        <f>"(0.56)"</f>
        <v>(0.56)</v>
      </c>
      <c r="C82" s="4" t="str">
        <f>"(1.00)"</f>
        <v>(1.00)</v>
      </c>
      <c r="D82" s="4" t="str">
        <f>"(0.05)"</f>
        <v>(0.05)</v>
      </c>
      <c r="E82" s="4" t="str">
        <f>"(-1.47)"</f>
        <v>(-1.47)</v>
      </c>
      <c r="F82" s="4"/>
      <c r="G82" s="4" t="str">
        <f>"(0.22)"</f>
        <v>(0.22)</v>
      </c>
      <c r="H82" s="4" t="str">
        <f>"(3.08)"</f>
        <v>(3.08)</v>
      </c>
      <c r="I82" s="4" t="str">
        <f>"(-1.24)"</f>
        <v>(-1.24)</v>
      </c>
      <c r="J82" s="6" t="str">
        <f>"(0.08)"</f>
        <v>(0.08)</v>
      </c>
    </row>
    <row r="83" spans="1:10" ht="12.75">
      <c r="A83" s="17"/>
      <c r="B83" s="4"/>
      <c r="C83" s="4"/>
      <c r="D83" s="4"/>
      <c r="E83" s="4"/>
      <c r="F83" s="4"/>
      <c r="G83" s="4"/>
      <c r="H83" s="4"/>
      <c r="I83" s="4"/>
      <c r="J83" s="6"/>
    </row>
    <row r="84" spans="1:10" ht="12.75">
      <c r="A84" s="17" t="str">
        <f>"School processes"</f>
        <v>School processes</v>
      </c>
      <c r="B84" s="4" t="str">
        <f>"67.72"</f>
        <v>67.72</v>
      </c>
      <c r="C84" s="4" t="str">
        <f>"97.30"</f>
        <v>97.30</v>
      </c>
      <c r="D84" s="4" t="str">
        <f>"51.93"</f>
        <v>51.93</v>
      </c>
      <c r="E84" s="4" t="str">
        <f>"73.80"</f>
        <v>73.80</v>
      </c>
      <c r="F84" s="4"/>
      <c r="G84" s="4" t="str">
        <f>"163.2"</f>
        <v>163.2</v>
      </c>
      <c r="H84" s="4" t="str">
        <f>"74.47"</f>
        <v>74.47</v>
      </c>
      <c r="I84" s="4" t="str">
        <f>"68.13"</f>
        <v>68.13</v>
      </c>
      <c r="J84" s="6" t="str">
        <f>"76.50"</f>
        <v>76.50</v>
      </c>
    </row>
    <row r="85" spans="1:10" ht="12.75">
      <c r="A85" s="17">
        <f>""</f>
      </c>
      <c r="B85" s="4" t="str">
        <f>"(0.73)"</f>
        <v>(0.73)</v>
      </c>
      <c r="C85" s="4" t="str">
        <f>"(1.57)"</f>
        <v>(1.57)</v>
      </c>
      <c r="D85" s="4" t="str">
        <f>"(1.39)"</f>
        <v>(1.39)</v>
      </c>
      <c r="E85" s="4" t="str">
        <f>"(1.71)"</f>
        <v>(1.71)</v>
      </c>
      <c r="F85" s="4"/>
      <c r="G85" s="4" t="str">
        <f>"(1.51)"</f>
        <v>(1.51)</v>
      </c>
      <c r="H85" s="4" t="str">
        <f>"(0.91)"</f>
        <v>(0.91)</v>
      </c>
      <c r="I85" s="4" t="str">
        <f>"(1.90)"</f>
        <v>(1.90)</v>
      </c>
      <c r="J85" s="6" t="str">
        <f>"(1.67)"</f>
        <v>(1.67)</v>
      </c>
    </row>
    <row r="86" spans="1:10" ht="12.75">
      <c r="A86" s="17"/>
      <c r="B86" s="4"/>
      <c r="C86" s="4"/>
      <c r="D86" s="4"/>
      <c r="E86" s="4"/>
      <c r="F86" s="4"/>
      <c r="G86" s="4"/>
      <c r="H86" s="4"/>
      <c r="I86" s="4"/>
      <c r="J86" s="6"/>
    </row>
    <row r="87" spans="1:10" ht="12.75">
      <c r="A87" s="17" t="str">
        <f>"Grade"</f>
        <v>Grade</v>
      </c>
      <c r="B87" s="4" t="str">
        <f>"-1.615"</f>
        <v>-1.615</v>
      </c>
      <c r="C87" s="4" t="str">
        <f>"-0.232"</f>
        <v>-0.232</v>
      </c>
      <c r="D87" s="4" t="str">
        <f>"0.289"</f>
        <v>0.289</v>
      </c>
      <c r="E87" s="4" t="str">
        <f>"-1.204"</f>
        <v>-1.204</v>
      </c>
      <c r="F87" s="4"/>
      <c r="G87" s="4" t="str">
        <f>"-1.158"</f>
        <v>-1.158</v>
      </c>
      <c r="H87" s="4" t="str">
        <f>"-0.161"</f>
        <v>-0.161</v>
      </c>
      <c r="I87" s="4" t="str">
        <f>"-1.465"</f>
        <v>-1.465</v>
      </c>
      <c r="J87" s="6" t="str">
        <f>"-1.206"</f>
        <v>-1.206</v>
      </c>
    </row>
    <row r="88" spans="1:10" ht="12.75">
      <c r="A88" s="17">
        <f>""</f>
      </c>
      <c r="B88" s="4" t="str">
        <f>"(-1.78)"</f>
        <v>(-1.78)</v>
      </c>
      <c r="C88" s="4" t="str">
        <f>"(-0.22)"</f>
        <v>(-0.22)</v>
      </c>
      <c r="D88" s="4" t="str">
        <f>"(0.23)"</f>
        <v>(0.23)</v>
      </c>
      <c r="E88" s="4" t="str">
        <f>"(-1.88)"</f>
        <v>(-1.88)</v>
      </c>
      <c r="F88" s="4"/>
      <c r="G88" s="4" t="str">
        <f>"(-1.74)"</f>
        <v>(-1.74)</v>
      </c>
      <c r="H88" s="4" t="str">
        <f>"(-0.15)"</f>
        <v>(-0.15)</v>
      </c>
      <c r="I88" s="4" t="str">
        <f>"(-1.10)"</f>
        <v>(-1.10)</v>
      </c>
      <c r="J88" s="6" t="str">
        <f>"(-1.90)"</f>
        <v>(-1.90)</v>
      </c>
    </row>
    <row r="89" spans="1:10" ht="12.75">
      <c r="A89" s="17"/>
      <c r="B89" s="4"/>
      <c r="C89" s="4"/>
      <c r="D89" s="4"/>
      <c r="E89" s="4"/>
      <c r="F89" s="4"/>
      <c r="G89" s="4"/>
      <c r="H89" s="4"/>
      <c r="I89" s="4"/>
      <c r="J89" s="6"/>
    </row>
    <row r="90" spans="1:10" ht="12.75">
      <c r="A90" s="17" t="str">
        <f>"Peer"</f>
        <v>Peer</v>
      </c>
      <c r="B90" s="4" t="str">
        <f>"-2.543"</f>
        <v>-2.543</v>
      </c>
      <c r="C90" s="4" t="str">
        <f>"-4.416**"</f>
        <v>-4.416**</v>
      </c>
      <c r="D90" s="4" t="str">
        <f>"-77.57**"</f>
        <v>-77.57**</v>
      </c>
      <c r="E90" s="4" t="str">
        <f>"6.655"</f>
        <v>6.655</v>
      </c>
      <c r="F90" s="4"/>
      <c r="G90" s="4">
        <f>""</f>
      </c>
      <c r="H90" s="4">
        <f>""</f>
      </c>
      <c r="I90" s="4">
        <f>""</f>
      </c>
      <c r="J90" s="6">
        <f>""</f>
      </c>
    </row>
    <row r="91" spans="1:10" ht="12.75">
      <c r="A91" s="17">
        <f>""</f>
      </c>
      <c r="B91" s="4" t="str">
        <f>"(-0.63)"</f>
        <v>(-0.63)</v>
      </c>
      <c r="C91" s="4" t="str">
        <f>"(-3.05)"</f>
        <v>(-3.05)</v>
      </c>
      <c r="D91" s="4" t="str">
        <f>"(-3.36)"</f>
        <v>(-3.36)</v>
      </c>
      <c r="E91" s="4" t="str">
        <f>"(1.19)"</f>
        <v>(1.19)</v>
      </c>
      <c r="F91" s="4"/>
      <c r="G91" s="4">
        <f>""</f>
      </c>
      <c r="H91" s="4">
        <f>""</f>
      </c>
      <c r="I91" s="4">
        <f>""</f>
      </c>
      <c r="J91" s="6">
        <f>""</f>
      </c>
    </row>
    <row r="92" spans="1:10" ht="12.75">
      <c r="A92" s="17"/>
      <c r="B92" s="4"/>
      <c r="C92" s="4"/>
      <c r="D92" s="4"/>
      <c r="E92" s="4"/>
      <c r="F92" s="4"/>
      <c r="G92" s="4"/>
      <c r="H92" s="4"/>
      <c r="I92" s="4"/>
      <c r="J92" s="6"/>
    </row>
    <row r="93" spans="1:10" ht="12.75">
      <c r="A93" s="17" t="str">
        <f>"Total"</f>
        <v>Total</v>
      </c>
      <c r="B93" s="4" t="str">
        <f>"32.14**"</f>
        <v>32.14**</v>
      </c>
      <c r="C93" s="4" t="str">
        <f>"35.63***"</f>
        <v>35.63***</v>
      </c>
      <c r="D93" s="4" t="str">
        <f>"7.782"</f>
        <v>7.782</v>
      </c>
      <c r="E93" s="4" t="str">
        <f>"3.399"</f>
        <v>3.399</v>
      </c>
      <c r="F93" s="4"/>
      <c r="G93" s="4" t="str">
        <f>"58.44***"</f>
        <v>58.44***</v>
      </c>
      <c r="H93" s="4" t="str">
        <f>"47.64***"</f>
        <v>47.64***</v>
      </c>
      <c r="I93" s="4" t="str">
        <f>"13.10*"</f>
        <v>13.10*</v>
      </c>
      <c r="J93" s="6" t="str">
        <f>"25.37***"</f>
        <v>25.37***</v>
      </c>
    </row>
    <row r="94" spans="1:10" ht="12.75">
      <c r="A94" s="17">
        <f>""</f>
      </c>
      <c r="B94" s="4" t="str">
        <f>"(2.70)"</f>
        <v>(2.70)</v>
      </c>
      <c r="C94" s="4" t="str">
        <f>"(8.44)"</f>
        <v>(8.44)</v>
      </c>
      <c r="D94" s="4" t="str">
        <f>"(1.29)"</f>
        <v>(1.29)</v>
      </c>
      <c r="E94" s="4" t="str">
        <f>"(0.60)"</f>
        <v>(0.60)</v>
      </c>
      <c r="F94" s="4"/>
      <c r="G94" s="4" t="str">
        <f>"(5.21)"</f>
        <v>(5.21)</v>
      </c>
      <c r="H94" s="4" t="str">
        <f>"(11.33)"</f>
        <v>(11.33)</v>
      </c>
      <c r="I94" s="4" t="str">
        <f>"(2.29)"</f>
        <v>(2.29)</v>
      </c>
      <c r="J94" s="6" t="str">
        <f>"(4.16)"</f>
        <v>(4.16)</v>
      </c>
    </row>
    <row r="95" spans="1:10" ht="12.75">
      <c r="A95" s="17"/>
      <c r="B95" s="4"/>
      <c r="C95" s="4"/>
      <c r="D95" s="4"/>
      <c r="E95" s="4"/>
      <c r="F95" s="4"/>
      <c r="G95" s="4"/>
      <c r="H95" s="4"/>
      <c r="I95" s="4"/>
      <c r="J95" s="6"/>
    </row>
    <row r="96" spans="1:10" ht="12.75">
      <c r="A96" s="17" t="str">
        <f>"Constant"</f>
        <v>Constant</v>
      </c>
      <c r="B96" s="4" t="str">
        <f>"-57.06"</f>
        <v>-57.06</v>
      </c>
      <c r="C96" s="4" t="str">
        <f>"-60.13"</f>
        <v>-60.13</v>
      </c>
      <c r="D96" s="4" t="str">
        <f>"56.45"</f>
        <v>56.45</v>
      </c>
      <c r="E96" s="4" t="str">
        <f>"-59.32"</f>
        <v>-59.32</v>
      </c>
      <c r="F96" s="4"/>
      <c r="G96" s="4" t="str">
        <f>"-122.8"</f>
        <v>-122.8</v>
      </c>
      <c r="H96" s="4" t="str">
        <f>"-74.26"</f>
        <v>-74.26</v>
      </c>
      <c r="I96" s="4" t="str">
        <f>"-16.24"</f>
        <v>-16.24</v>
      </c>
      <c r="J96" s="6" t="str">
        <f>"-46.28"</f>
        <v>-46.28</v>
      </c>
    </row>
    <row r="97" spans="1:10" ht="12.75">
      <c r="A97" s="17">
        <f>""</f>
      </c>
      <c r="B97" s="4" t="str">
        <f>"(-0.60)"</f>
        <v>(-0.60)</v>
      </c>
      <c r="C97" s="4" t="str">
        <f>"(-0.95)"</f>
        <v>(-0.95)</v>
      </c>
      <c r="D97" s="4" t="str">
        <f>"(1.03)"</f>
        <v>(1.03)</v>
      </c>
      <c r="E97" s="4" t="str">
        <f>"(-1.31)"</f>
        <v>(-1.31)</v>
      </c>
      <c r="F97" s="4"/>
      <c r="G97" s="4" t="str">
        <f>"(-1.11)"</f>
        <v>(-1.11)</v>
      </c>
      <c r="H97" s="4" t="str">
        <f>"(-0.98)"</f>
        <v>(-0.98)</v>
      </c>
      <c r="I97" s="4" t="str">
        <f>"(-0.38)"</f>
        <v>(-0.38)</v>
      </c>
      <c r="J97" s="6" t="str">
        <f>"(-0.94)"</f>
        <v>(-0.94)</v>
      </c>
    </row>
    <row r="98" spans="1:10" ht="12.75">
      <c r="A98" s="17"/>
      <c r="B98" s="4"/>
      <c r="C98" s="4"/>
      <c r="D98" s="4"/>
      <c r="E98" s="4"/>
      <c r="F98" s="4"/>
      <c r="G98" s="4"/>
      <c r="H98" s="4"/>
      <c r="I98" s="4"/>
      <c r="J98" s="6"/>
    </row>
    <row r="99" spans="1:10" ht="12.75">
      <c r="A99" s="18" t="str">
        <f>"N"</f>
        <v>N</v>
      </c>
      <c r="B99" s="7" t="str">
        <f>"4684"</f>
        <v>4684</v>
      </c>
      <c r="C99" s="7" t="str">
        <f>"4744"</f>
        <v>4744</v>
      </c>
      <c r="D99" s="7" t="str">
        <f>"4848"</f>
        <v>4848</v>
      </c>
      <c r="E99" s="7" t="str">
        <f>"5282"</f>
        <v>5282</v>
      </c>
      <c r="F99" s="7"/>
      <c r="G99" s="7" t="str">
        <f>"4684"</f>
        <v>4684</v>
      </c>
      <c r="H99" s="7" t="str">
        <f>"4744"</f>
        <v>4744</v>
      </c>
      <c r="I99" s="7" t="str">
        <f>"4848"</f>
        <v>4848</v>
      </c>
      <c r="J99" s="8" t="str">
        <f>"5282"</f>
        <v>5282</v>
      </c>
    </row>
    <row r="101" ht="12.75">
      <c r="A101" s="2" t="str">
        <f>"t statistics in parentheses"</f>
        <v>t statistics in parentheses</v>
      </c>
    </row>
    <row r="102" ht="12.75">
      <c r="A102" s="2" t="s">
        <v>30</v>
      </c>
    </row>
    <row r="103" ht="12.75">
      <c r="A103" s="2" t="s">
        <v>33</v>
      </c>
    </row>
    <row r="104" ht="12.75">
      <c r="A104" s="3" t="s">
        <v>5</v>
      </c>
    </row>
    <row r="107" ht="12.75">
      <c r="A107" s="1" t="s">
        <v>29</v>
      </c>
    </row>
    <row r="108" spans="1:27" s="4" customFormat="1" ht="27.75" customHeight="1">
      <c r="A108" s="38"/>
      <c r="B108" s="39" t="s">
        <v>14</v>
      </c>
      <c r="C108" s="39"/>
      <c r="D108" s="39" t="s">
        <v>15</v>
      </c>
      <c r="E108" s="39"/>
      <c r="F108" s="39" t="s">
        <v>16</v>
      </c>
      <c r="G108" s="39"/>
      <c r="H108" s="39" t="s">
        <v>17</v>
      </c>
      <c r="I108" s="39"/>
      <c r="J108" s="40" t="s">
        <v>18</v>
      </c>
      <c r="K108" s="40"/>
      <c r="L108" s="39" t="s">
        <v>19</v>
      </c>
      <c r="M108" s="39"/>
      <c r="N108" s="39" t="s">
        <v>20</v>
      </c>
      <c r="O108" s="39"/>
      <c r="P108" s="39" t="s">
        <v>21</v>
      </c>
      <c r="Q108" s="39"/>
      <c r="R108" s="39" t="s">
        <v>7</v>
      </c>
      <c r="S108" s="39"/>
      <c r="T108" s="39" t="s">
        <v>22</v>
      </c>
      <c r="U108" s="39"/>
      <c r="V108" s="39" t="s">
        <v>23</v>
      </c>
      <c r="W108" s="39"/>
      <c r="X108" s="39" t="s">
        <v>24</v>
      </c>
      <c r="Y108" s="39"/>
      <c r="Z108" s="39" t="s">
        <v>25</v>
      </c>
      <c r="AA108" s="39"/>
    </row>
    <row r="109" spans="1:27" s="4" customFormat="1" ht="12.75">
      <c r="A109" s="38"/>
      <c r="B109" s="39"/>
      <c r="C109" s="39"/>
      <c r="D109" s="39"/>
      <c r="E109" s="39"/>
      <c r="F109" s="39"/>
      <c r="G109" s="39"/>
      <c r="H109" s="39"/>
      <c r="I109" s="39"/>
      <c r="J109" s="40"/>
      <c r="K109" s="40"/>
      <c r="L109" s="39"/>
      <c r="M109" s="39"/>
      <c r="N109" s="39"/>
      <c r="O109" s="39"/>
      <c r="P109" s="39"/>
      <c r="Q109" s="39"/>
      <c r="R109" s="39"/>
      <c r="S109" s="39"/>
      <c r="T109" s="39"/>
      <c r="U109" s="39"/>
      <c r="V109" s="39"/>
      <c r="W109" s="39"/>
      <c r="X109" s="39"/>
      <c r="Y109" s="39"/>
      <c r="Z109" s="39"/>
      <c r="AA109" s="39"/>
    </row>
    <row r="110" spans="1:27" s="4" customFormat="1" ht="12.75">
      <c r="A110" s="19"/>
      <c r="B110" s="30" t="s">
        <v>27</v>
      </c>
      <c r="C110" s="30" t="s">
        <v>28</v>
      </c>
      <c r="D110" s="30" t="s">
        <v>27</v>
      </c>
      <c r="E110" s="30" t="s">
        <v>28</v>
      </c>
      <c r="F110" s="30" t="s">
        <v>27</v>
      </c>
      <c r="G110" s="30" t="s">
        <v>28</v>
      </c>
      <c r="H110" s="30" t="s">
        <v>27</v>
      </c>
      <c r="I110" s="30" t="s">
        <v>28</v>
      </c>
      <c r="J110" s="30" t="s">
        <v>27</v>
      </c>
      <c r="K110" s="30" t="s">
        <v>28</v>
      </c>
      <c r="L110" s="30" t="s">
        <v>27</v>
      </c>
      <c r="M110" s="30" t="s">
        <v>28</v>
      </c>
      <c r="N110" s="30" t="s">
        <v>27</v>
      </c>
      <c r="O110" s="30" t="s">
        <v>28</v>
      </c>
      <c r="P110" s="30" t="s">
        <v>27</v>
      </c>
      <c r="Q110" s="30" t="s">
        <v>28</v>
      </c>
      <c r="R110" s="30" t="s">
        <v>27</v>
      </c>
      <c r="S110" s="30" t="s">
        <v>28</v>
      </c>
      <c r="T110" s="30" t="s">
        <v>27</v>
      </c>
      <c r="U110" s="30" t="s">
        <v>28</v>
      </c>
      <c r="V110" s="30" t="s">
        <v>27</v>
      </c>
      <c r="W110" s="30" t="s">
        <v>28</v>
      </c>
      <c r="X110" s="30" t="s">
        <v>27</v>
      </c>
      <c r="Y110" s="30" t="s">
        <v>28</v>
      </c>
      <c r="Z110" s="30" t="s">
        <v>27</v>
      </c>
      <c r="AA110" s="30" t="s">
        <v>28</v>
      </c>
    </row>
    <row r="111" spans="1:27" s="4" customFormat="1" ht="12.75">
      <c r="A111" s="22"/>
      <c r="B111" s="27" t="s">
        <v>26</v>
      </c>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9"/>
    </row>
    <row r="112" spans="1:27" s="4" customFormat="1" ht="12.75">
      <c r="A112" s="20" t="s">
        <v>12</v>
      </c>
      <c r="B112" s="24">
        <v>0.5433464901014776</v>
      </c>
      <c r="C112" s="24">
        <v>0.014844882307139954</v>
      </c>
      <c r="D112" s="24">
        <v>-0.07348001708522235</v>
      </c>
      <c r="E112" s="24">
        <v>0.04967910826365293</v>
      </c>
      <c r="F112" s="24">
        <v>1.20166606538646</v>
      </c>
      <c r="G112" s="24">
        <v>0.100803979729244</v>
      </c>
      <c r="H112" s="24">
        <v>0.8933468380131291</v>
      </c>
      <c r="I112" s="24">
        <v>0.01587565725493521</v>
      </c>
      <c r="J112" s="24">
        <v>-0.07398190173103888</v>
      </c>
      <c r="K112" s="24">
        <v>0.049362367865244304</v>
      </c>
      <c r="L112" s="24">
        <v>0.08777250996183135</v>
      </c>
      <c r="M112" s="24">
        <v>0.0813355146124878</v>
      </c>
      <c r="N112" s="24">
        <v>0.055061409436643546</v>
      </c>
      <c r="O112" s="24">
        <v>0.08491649198343723</v>
      </c>
      <c r="P112" s="24">
        <v>-0.8232661225258908</v>
      </c>
      <c r="Q112" s="24">
        <v>0.046786170247184136</v>
      </c>
      <c r="R112" s="24">
        <v>38.07431571792472</v>
      </c>
      <c r="S112" s="24">
        <v>3.649551027110202</v>
      </c>
      <c r="T112" s="24">
        <v>149.0626988098056</v>
      </c>
      <c r="U112" s="24">
        <v>2.49461823442981</v>
      </c>
      <c r="V112" s="24">
        <v>-0.10615088418748336</v>
      </c>
      <c r="W112" s="24">
        <v>0.03794396594316095</v>
      </c>
      <c r="X112" s="24">
        <v>0.07191423496788557</v>
      </c>
      <c r="Y112" s="24">
        <v>0.009141332865588445</v>
      </c>
      <c r="Z112" s="24">
        <v>0.04343741256968526</v>
      </c>
      <c r="AA112" s="24">
        <v>0.004354210031089044</v>
      </c>
    </row>
    <row r="113" spans="1:27" s="4" customFormat="1" ht="12.75">
      <c r="A113" s="20" t="s">
        <v>10</v>
      </c>
      <c r="B113" s="21">
        <v>0.5824516727400761</v>
      </c>
      <c r="C113" s="21">
        <v>0.005120231044413103</v>
      </c>
      <c r="D113" s="21">
        <v>0.12544226341764406</v>
      </c>
      <c r="E113" s="21">
        <v>0.020330995948551908</v>
      </c>
      <c r="F113" s="21">
        <v>0.7443980264534773</v>
      </c>
      <c r="G113" s="21">
        <v>0.023386692896083833</v>
      </c>
      <c r="H113" s="21">
        <v>0.9839487562630544</v>
      </c>
      <c r="I113" s="21">
        <v>0.002974440322073558</v>
      </c>
      <c r="J113" s="21">
        <v>0.07050833189859802</v>
      </c>
      <c r="K113" s="21">
        <v>0.009486101517222248</v>
      </c>
      <c r="L113" s="21">
        <v>-0.3300270175484799</v>
      </c>
      <c r="M113" s="21">
        <v>0.007079911421744445</v>
      </c>
      <c r="N113" s="21">
        <v>-0.5643494422940217</v>
      </c>
      <c r="O113" s="21">
        <v>0.003975712637214245</v>
      </c>
      <c r="P113" s="21">
        <v>-0.5569987594137847</v>
      </c>
      <c r="Q113" s="21">
        <v>0.0053316833546242955</v>
      </c>
      <c r="R113" s="21">
        <v>58.51831560928272</v>
      </c>
      <c r="S113" s="21">
        <v>0.4274505794883042</v>
      </c>
      <c r="T113" s="21">
        <v>172.80711800151533</v>
      </c>
      <c r="U113" s="21">
        <v>0.0869705723016506</v>
      </c>
      <c r="V113" s="21">
        <v>0.10464497869699817</v>
      </c>
      <c r="W113" s="21">
        <v>0.003884539817484406</v>
      </c>
      <c r="X113" s="21">
        <v>0.0018702857126499624</v>
      </c>
      <c r="Y113" s="21">
        <v>0.0013307669036794478</v>
      </c>
      <c r="Z113" s="21">
        <v>0.21671719094551486</v>
      </c>
      <c r="AA113" s="21">
        <v>0.0027592409030309036</v>
      </c>
    </row>
    <row r="114" spans="1:27" s="4" customFormat="1" ht="12.75">
      <c r="A114" s="20" t="s">
        <v>9</v>
      </c>
      <c r="B114" s="21">
        <v>0.5537224748209308</v>
      </c>
      <c r="C114" s="21">
        <v>0.01551841033570082</v>
      </c>
      <c r="D114" s="21">
        <v>0.21323411074883195</v>
      </c>
      <c r="E114" s="21">
        <v>0.061699092327265295</v>
      </c>
      <c r="F114" s="21">
        <v>0.8945638729187652</v>
      </c>
      <c r="G114" s="21">
        <v>0.03383509114101514</v>
      </c>
      <c r="H114" s="21">
        <v>0.9400269839793606</v>
      </c>
      <c r="I114" s="21">
        <v>0.014222186399913071</v>
      </c>
      <c r="J114" s="21">
        <v>0.18631461665999063</v>
      </c>
      <c r="K114" s="21">
        <v>0.05953710124957935</v>
      </c>
      <c r="L114" s="21">
        <v>-0.3562362146598429</v>
      </c>
      <c r="M114" s="21">
        <v>0.11768734296731495</v>
      </c>
      <c r="N114" s="21">
        <v>-0.7127898380864376</v>
      </c>
      <c r="O114" s="21">
        <v>0.10590921400848483</v>
      </c>
      <c r="P114" s="21">
        <v>-0.9308426283300805</v>
      </c>
      <c r="Q114" s="21">
        <v>0.07380350109057564</v>
      </c>
      <c r="R114" s="21">
        <v>59.02368003760617</v>
      </c>
      <c r="S114" s="21">
        <v>7.419201424318204</v>
      </c>
      <c r="T114" s="21">
        <v>172.0575948567902</v>
      </c>
      <c r="U114" s="21">
        <v>2.4124434249215745</v>
      </c>
      <c r="V114" s="21">
        <v>0.07514110463759881</v>
      </c>
      <c r="W114" s="21">
        <v>0.07549706620231658</v>
      </c>
      <c r="X114" s="21">
        <v>0.05685903195421476</v>
      </c>
      <c r="Y114" s="21">
        <v>0.02424641695604047</v>
      </c>
      <c r="Z114" s="21">
        <v>0.03344214961477054</v>
      </c>
      <c r="AA114" s="21">
        <v>0.006431494493489789</v>
      </c>
    </row>
    <row r="115" spans="1:27" s="4" customFormat="1" ht="12.75">
      <c r="A115" s="20" t="s">
        <v>11</v>
      </c>
      <c r="B115" s="23">
        <v>0.5219196848384047</v>
      </c>
      <c r="C115" s="23">
        <v>0.011993898172121204</v>
      </c>
      <c r="D115" s="23">
        <v>-1.3075817432126549</v>
      </c>
      <c r="E115" s="23">
        <v>0.052332210482536765</v>
      </c>
      <c r="F115" s="23">
        <v>3.1119284139192587</v>
      </c>
      <c r="G115" s="23">
        <v>0.1204887845025965</v>
      </c>
      <c r="H115" s="23">
        <v>0.9113152434240793</v>
      </c>
      <c r="I115" s="23">
        <v>0.012620651238167286</v>
      </c>
      <c r="J115" s="23">
        <v>-1.308334309475403</v>
      </c>
      <c r="K115" s="23">
        <v>0.05268102757224526</v>
      </c>
      <c r="L115" s="23">
        <v>-0.039689170632447486</v>
      </c>
      <c r="M115" s="23">
        <v>0.08525146234225883</v>
      </c>
      <c r="N115" s="23">
        <v>-0.3104119688134493</v>
      </c>
      <c r="O115" s="23">
        <v>0.0852788033711189</v>
      </c>
      <c r="P115" s="23">
        <v>0.8201158675722863</v>
      </c>
      <c r="Q115" s="23">
        <v>0.10226668909246413</v>
      </c>
      <c r="R115" s="23">
        <v>21.219304413324814</v>
      </c>
      <c r="S115" s="23">
        <v>3.000511574543992</v>
      </c>
      <c r="T115" s="23">
        <v>212.07221853819317</v>
      </c>
      <c r="U115" s="23">
        <v>3.3938259648645697</v>
      </c>
      <c r="V115" s="23">
        <v>0.008333256726332686</v>
      </c>
      <c r="W115" s="23">
        <v>0.030469906290042443</v>
      </c>
      <c r="X115" s="23">
        <v>0.2595745997808636</v>
      </c>
      <c r="Y115" s="23">
        <v>0.01591644275348023</v>
      </c>
      <c r="Z115" s="23">
        <v>0.03948928343264944</v>
      </c>
      <c r="AA115" s="23">
        <v>0.003035716573895857</v>
      </c>
    </row>
    <row r="116" spans="1:27" s="4" customFormat="1" ht="12.75">
      <c r="A116" s="22"/>
      <c r="B116" s="25" t="s">
        <v>4</v>
      </c>
      <c r="C116" s="26"/>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4"/>
    </row>
    <row r="117" spans="1:27" s="4" customFormat="1" ht="12.75">
      <c r="A117" s="20" t="s">
        <v>12</v>
      </c>
      <c r="B117" s="24">
        <v>0.39361006087591016</v>
      </c>
      <c r="C117" s="24">
        <v>0.03875445414231201</v>
      </c>
      <c r="D117" s="24">
        <v>-0.5688616652162197</v>
      </c>
      <c r="E117" s="24">
        <v>0.045088329223858095</v>
      </c>
      <c r="F117" s="24">
        <v>1.1647561240178235</v>
      </c>
      <c r="G117" s="24">
        <v>0.06789301591823516</v>
      </c>
      <c r="H117" s="24">
        <v>0.8471271953575901</v>
      </c>
      <c r="I117" s="24">
        <v>0.01736388227440426</v>
      </c>
      <c r="J117" s="24">
        <v>-0.5676403553280647</v>
      </c>
      <c r="K117" s="24">
        <v>0.044558591585295314</v>
      </c>
      <c r="L117" s="24">
        <v>0.34264220442423365</v>
      </c>
      <c r="M117" s="24">
        <v>0.09157313038699715</v>
      </c>
      <c r="N117" s="24">
        <v>-0.1670704245984692</v>
      </c>
      <c r="O117" s="24">
        <v>0.12325642123634722</v>
      </c>
      <c r="P117" s="24">
        <v>-0.7780364329453627</v>
      </c>
      <c r="Q117" s="24">
        <v>0.05324860074145582</v>
      </c>
      <c r="R117" s="24">
        <v>33.358039899497044</v>
      </c>
      <c r="S117" s="24">
        <v>3.3399244571609894</v>
      </c>
      <c r="T117" s="24">
        <v>131.15147942981332</v>
      </c>
      <c r="U117" s="24">
        <v>1.5476693118680855</v>
      </c>
      <c r="V117" s="24">
        <v>-0.35135714856750555</v>
      </c>
      <c r="W117" s="24">
        <v>0.048952736757518246</v>
      </c>
      <c r="X117" s="24">
        <v>0.008678489186351706</v>
      </c>
      <c r="Y117" s="24">
        <v>0.0022599030498920273</v>
      </c>
      <c r="Z117" s="24">
        <v>0.057564918504569046</v>
      </c>
      <c r="AA117" s="24">
        <v>0.006311279480278677</v>
      </c>
    </row>
    <row r="118" spans="1:27" s="4" customFormat="1" ht="12.75">
      <c r="A118" s="20" t="s">
        <v>10</v>
      </c>
      <c r="B118" s="21">
        <v>0.4572062038990154</v>
      </c>
      <c r="C118" s="21">
        <v>0.002705890446797517</v>
      </c>
      <c r="D118" s="21">
        <v>-0.441621324657582</v>
      </c>
      <c r="E118" s="21">
        <v>0.01494226433048336</v>
      </c>
      <c r="F118" s="21">
        <v>0.9160366752600424</v>
      </c>
      <c r="G118" s="21">
        <v>0.021174061848385797</v>
      </c>
      <c r="H118" s="21">
        <v>0.9798480561212607</v>
      </c>
      <c r="I118" s="21">
        <v>0.002801724493661136</v>
      </c>
      <c r="J118" s="21">
        <v>-0.41548984076725776</v>
      </c>
      <c r="K118" s="21">
        <v>0.0009837423757240006</v>
      </c>
      <c r="L118" s="21">
        <v>0.06440156874011309</v>
      </c>
      <c r="M118" s="21">
        <v>0.0027523416491928793</v>
      </c>
      <c r="N118" s="21">
        <v>-0.4421269822102011</v>
      </c>
      <c r="O118" s="21">
        <v>0.002399581723122707</v>
      </c>
      <c r="P118" s="21">
        <v>-0.47808917364087883</v>
      </c>
      <c r="Q118" s="21">
        <v>0.003096680855967946</v>
      </c>
      <c r="R118" s="21">
        <v>38.899470616243015</v>
      </c>
      <c r="S118" s="21">
        <v>0.11886451449233564</v>
      </c>
      <c r="T118" s="21">
        <v>137.49723580059376</v>
      </c>
      <c r="U118" s="21">
        <v>0.04308945768551804</v>
      </c>
      <c r="V118" s="21">
        <v>-0.08489913833994314</v>
      </c>
      <c r="W118" s="21">
        <v>0.0007053013536859818</v>
      </c>
      <c r="X118" s="21">
        <v>0</v>
      </c>
      <c r="Y118" s="21">
        <v>0</v>
      </c>
      <c r="Z118" s="21">
        <v>0.1974123232898854</v>
      </c>
      <c r="AA118" s="21">
        <v>0.0017641287586553397</v>
      </c>
    </row>
    <row r="119" spans="1:27" s="4" customFormat="1" ht="12.75">
      <c r="A119" s="20" t="s">
        <v>9</v>
      </c>
      <c r="B119" s="21">
        <v>0.48464204567004115</v>
      </c>
      <c r="C119" s="21">
        <v>0.013537344142667336</v>
      </c>
      <c r="D119" s="21">
        <v>-0.4701552427893689</v>
      </c>
      <c r="E119" s="21">
        <v>0.02390450031395971</v>
      </c>
      <c r="F119" s="21">
        <v>0.9010230759316867</v>
      </c>
      <c r="G119" s="21">
        <v>0.02548819429577495</v>
      </c>
      <c r="H119" s="21">
        <v>0.9406195788948277</v>
      </c>
      <c r="I119" s="21">
        <v>0.006982574877889292</v>
      </c>
      <c r="J119" s="21">
        <v>-0.4633901955425448</v>
      </c>
      <c r="K119" s="21">
        <v>0.0247004203603386</v>
      </c>
      <c r="L119" s="21">
        <v>-0.3390507398517734</v>
      </c>
      <c r="M119" s="21">
        <v>0.10872458703185038</v>
      </c>
      <c r="N119" s="21">
        <v>-0.5082033640715099</v>
      </c>
      <c r="O119" s="21">
        <v>0.08966993436655835</v>
      </c>
      <c r="P119" s="21">
        <v>-0.6768135579576652</v>
      </c>
      <c r="Q119" s="21">
        <v>0.06486255662079794</v>
      </c>
      <c r="R119" s="21">
        <v>43.88223640020611</v>
      </c>
      <c r="S119" s="21">
        <v>4.354480149207657</v>
      </c>
      <c r="T119" s="21">
        <v>135.77601018375503</v>
      </c>
      <c r="U119" s="21">
        <v>0.7449010229381798</v>
      </c>
      <c r="V119" s="21">
        <v>-0.24086129586677457</v>
      </c>
      <c r="W119" s="21">
        <v>0.03750299537006688</v>
      </c>
      <c r="X119" s="21">
        <v>0</v>
      </c>
      <c r="Y119" s="21">
        <v>0</v>
      </c>
      <c r="Z119" s="21">
        <v>0.011190673714969774</v>
      </c>
      <c r="AA119" s="21">
        <v>0.0021673701565420966</v>
      </c>
    </row>
    <row r="120" spans="1:27" s="4" customFormat="1" ht="12.75">
      <c r="A120" s="20" t="s">
        <v>11</v>
      </c>
      <c r="B120" s="21">
        <v>0.4501127118715722</v>
      </c>
      <c r="C120" s="21">
        <v>0.04718744147824726</v>
      </c>
      <c r="D120" s="21">
        <v>-1.6989705719602697</v>
      </c>
      <c r="E120" s="21">
        <v>0.042616598239132386</v>
      </c>
      <c r="F120" s="21">
        <v>3.6905535450505287</v>
      </c>
      <c r="G120" s="21">
        <v>0.13502245540202343</v>
      </c>
      <c r="H120" s="21">
        <v>0.9504687655668813</v>
      </c>
      <c r="I120" s="21">
        <v>0.00935567530428914</v>
      </c>
      <c r="J120" s="21">
        <v>-1.699078355827779</v>
      </c>
      <c r="K120" s="21">
        <v>0.04239101774842012</v>
      </c>
      <c r="L120" s="21">
        <v>-0.5999471563868932</v>
      </c>
      <c r="M120" s="21">
        <v>0.12860310676933778</v>
      </c>
      <c r="N120" s="21">
        <v>-0.5447365283273231</v>
      </c>
      <c r="O120" s="21">
        <v>0.09430745215422068</v>
      </c>
      <c r="P120" s="21">
        <v>0.9696478251725994</v>
      </c>
      <c r="Q120" s="21">
        <v>0.08349701585220529</v>
      </c>
      <c r="R120" s="21">
        <v>13.675577735908165</v>
      </c>
      <c r="S120" s="21">
        <v>4.13466362692477</v>
      </c>
      <c r="T120" s="21">
        <v>168.187244075088</v>
      </c>
      <c r="U120" s="21">
        <v>2.6441793988349094</v>
      </c>
      <c r="V120" s="21">
        <v>-0.2516237735986388</v>
      </c>
      <c r="W120" s="21">
        <v>0.03642442631569315</v>
      </c>
      <c r="X120" s="21">
        <v>0.3027658033665047</v>
      </c>
      <c r="Y120" s="21">
        <v>0.018705897193854515</v>
      </c>
      <c r="Z120" s="21">
        <v>0.040103038309151705</v>
      </c>
      <c r="AA120" s="21">
        <v>0.005344801916363649</v>
      </c>
    </row>
    <row r="121" ht="12.75">
      <c r="A121" s="5" t="s">
        <v>33</v>
      </c>
    </row>
  </sheetData>
  <sheetProtection/>
  <mergeCells count="27">
    <mergeCell ref="J108:K109"/>
    <mergeCell ref="X108:Y109"/>
    <mergeCell ref="Z108:AA109"/>
    <mergeCell ref="L108:M109"/>
    <mergeCell ref="N108:O109"/>
    <mergeCell ref="P108:Q109"/>
    <mergeCell ref="R108:S109"/>
    <mergeCell ref="T108:U109"/>
    <mergeCell ref="V108:W109"/>
    <mergeCell ref="D116:E116"/>
    <mergeCell ref="F116:G116"/>
    <mergeCell ref="H116:I116"/>
    <mergeCell ref="J116:K116"/>
    <mergeCell ref="A45:J45"/>
    <mergeCell ref="A108:A109"/>
    <mergeCell ref="B108:C109"/>
    <mergeCell ref="D108:E109"/>
    <mergeCell ref="F108:G109"/>
    <mergeCell ref="H108:I109"/>
    <mergeCell ref="V116:W116"/>
    <mergeCell ref="X116:Y116"/>
    <mergeCell ref="Z116:AA116"/>
    <mergeCell ref="L116:M116"/>
    <mergeCell ref="N116:O116"/>
    <mergeCell ref="P116:Q116"/>
    <mergeCell ref="R116:S116"/>
    <mergeCell ref="T116:U116"/>
  </mergeCells>
  <hyperlinks>
    <hyperlink ref="A1" r:id="rId1" display="http://dx.doi.org/10.1787/978926424619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2015-09-07T15:37:42Z</dcterms:created>
  <dcterms:modified xsi:type="dcterms:W3CDTF">2015-11-17T14:31:58Z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